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320" yWindow="2260" windowWidth="31980" windowHeight="22820" activeTab="1"/>
  </bookViews>
  <sheets>
    <sheet name="Sort Calculator" sheetId="1" r:id="rId1"/>
    <sheet name="Instructions and Notes" sheetId="2" r:id="rId2"/>
  </sheets>
  <definedNames/>
  <calcPr fullCalcOnLoad="1"/>
</workbook>
</file>

<file path=xl/sharedStrings.xml><?xml version="1.0" encoding="utf-8"?>
<sst xmlns="http://schemas.openxmlformats.org/spreadsheetml/2006/main" count="109" uniqueCount="108">
  <si>
    <r>
      <t>μ</t>
    </r>
    <r>
      <rPr>
        <sz val="10"/>
        <rFont val="Arial"/>
        <family val="0"/>
      </rPr>
      <t>Tn</t>
    </r>
  </si>
  <si>
    <r>
      <t>(1-</t>
    </r>
    <r>
      <rPr>
        <sz val="10"/>
        <rFont val="Verdana"/>
        <family val="2"/>
      </rPr>
      <t>ε</t>
    </r>
    <r>
      <rPr>
        <sz val="10"/>
        <rFont val="Arial"/>
        <family val="0"/>
      </rPr>
      <t>)</t>
    </r>
    <r>
      <rPr>
        <sz val="10"/>
        <rFont val="Verdana"/>
        <family val="2"/>
      </rPr>
      <t>μ</t>
    </r>
    <r>
      <rPr>
        <sz val="10"/>
        <rFont val="Arial"/>
        <family val="0"/>
      </rPr>
      <t>Tn</t>
    </r>
  </si>
  <si>
    <r>
      <t>e^(1-</t>
    </r>
    <r>
      <rPr>
        <sz val="10"/>
        <rFont val="Verdana"/>
        <family val="2"/>
      </rPr>
      <t>ε</t>
    </r>
    <r>
      <rPr>
        <sz val="10"/>
        <rFont val="Arial"/>
        <family val="0"/>
      </rPr>
      <t>)</t>
    </r>
    <r>
      <rPr>
        <sz val="10"/>
        <rFont val="Verdana"/>
        <family val="2"/>
      </rPr>
      <t>μ</t>
    </r>
    <r>
      <rPr>
        <sz val="10"/>
        <rFont val="Arial"/>
        <family val="0"/>
      </rPr>
      <t>Tn</t>
    </r>
  </si>
  <si>
    <t>1/e^(1-ε)μTn</t>
  </si>
  <si>
    <r>
      <t>wanted input rate (</t>
    </r>
    <r>
      <rPr>
        <sz val="10"/>
        <rFont val="Verdana"/>
        <family val="2"/>
      </rPr>
      <t>ε*cell/sec)</t>
    </r>
  </si>
  <si>
    <t>sorted cells collected/hour</t>
  </si>
  <si>
    <r>
      <t>P(x)= (</t>
    </r>
    <r>
      <rPr>
        <b/>
        <sz val="10"/>
        <rFont val="Symbol"/>
        <family val="1"/>
      </rPr>
      <t>l</t>
    </r>
    <r>
      <rPr>
        <b/>
        <sz val="10"/>
        <rFont val="Arial"/>
        <family val="0"/>
      </rPr>
      <t>^x/x!)*e^(-</t>
    </r>
    <r>
      <rPr>
        <b/>
        <sz val="10"/>
        <rFont val="Symbol"/>
        <family val="1"/>
      </rPr>
      <t>l)</t>
    </r>
  </si>
  <si>
    <t>Probability of Drops with 2 cells</t>
  </si>
  <si>
    <t>Probability of Drops with 3 cells</t>
  </si>
  <si>
    <t># of drops/sort event</t>
  </si>
  <si>
    <t>Probability of Drops with 1 or more cells</t>
  </si>
  <si>
    <t>Probability of Drops with 1 cell</t>
  </si>
  <si>
    <t>Fraction of sorted drops with 1 cell</t>
  </si>
  <si>
    <t>Probability of Drops with 4 cells</t>
  </si>
  <si>
    <t>sorted rate/sec</t>
  </si>
  <si>
    <t>Total # of Cells</t>
  </si>
  <si>
    <t>Fraction of sorted drops with more than 1 cell</t>
  </si>
  <si>
    <t>Totals</t>
  </si>
  <si>
    <t>when # drops sorted = 1</t>
  </si>
  <si>
    <t>when # drops sorted = 2</t>
  </si>
  <si>
    <t>total sort time (hours)</t>
  </si>
  <si>
    <t>is Expected Maximum % Purity of Sort</t>
  </si>
  <si>
    <t>Expected Maximum % Purity</t>
  </si>
  <si>
    <t>Total # sorted cells wanted</t>
  </si>
  <si>
    <t>Estimated Sort Time</t>
  </si>
  <si>
    <t>Time Sample will last</t>
  </si>
  <si>
    <t>Droplet Volume (ul)</t>
  </si>
  <si>
    <t>Total Sample Volume (ml)</t>
  </si>
  <si>
    <t xml:space="preserve">Cell Concentration Cells/ml </t>
  </si>
  <si>
    <r>
      <t xml:space="preserve">Recovery Mask Fraction Denominator(1/x e.g  x=4 - i.e. 1/4) x </t>
    </r>
    <r>
      <rPr>
        <b/>
        <sz val="10"/>
        <rFont val="Symbol"/>
        <family val="1"/>
      </rPr>
      <t>³</t>
    </r>
    <r>
      <rPr>
        <b/>
        <sz val="10"/>
        <rFont val="Arial"/>
        <family val="0"/>
      </rPr>
      <t xml:space="preserve"> 1</t>
    </r>
  </si>
  <si>
    <r>
      <t>l= (</t>
    </r>
    <r>
      <rPr>
        <sz val="10"/>
        <rFont val="Arial"/>
        <family val="0"/>
      </rPr>
      <t>cells/sec)/(drops/sec)/# of drops/sort event</t>
    </r>
  </si>
  <si>
    <t>Calculated Values Appear in Orange Boxes</t>
  </si>
  <si>
    <t>x is # of cells in sort event, x! is "x factorial", e is base of natural log</t>
  </si>
  <si>
    <r>
      <t>Posisson Statistics  P(x) = (</t>
    </r>
    <r>
      <rPr>
        <b/>
        <sz val="10"/>
        <rFont val="Symbol"/>
        <family val="1"/>
      </rPr>
      <t>l</t>
    </r>
    <r>
      <rPr>
        <b/>
        <vertAlign val="superscript"/>
        <sz val="10"/>
        <rFont val="Arial"/>
        <family val="2"/>
      </rPr>
      <t>x</t>
    </r>
    <r>
      <rPr>
        <b/>
        <sz val="10"/>
        <rFont val="Arial"/>
        <family val="2"/>
      </rPr>
      <t>/x</t>
    </r>
    <r>
      <rPr>
        <b/>
        <sz val="10"/>
        <rFont val="Symbol"/>
        <family val="1"/>
      </rPr>
      <t>!</t>
    </r>
    <r>
      <rPr>
        <b/>
        <sz val="10"/>
        <rFont val="Arial"/>
        <family val="2"/>
      </rPr>
      <t>)e</t>
    </r>
    <r>
      <rPr>
        <b/>
        <vertAlign val="superscript"/>
        <sz val="10"/>
        <rFont val="Arial"/>
        <family val="2"/>
      </rPr>
      <t>-</t>
    </r>
    <r>
      <rPr>
        <b/>
        <vertAlign val="superscript"/>
        <sz val="10"/>
        <rFont val="Symbol"/>
        <family val="1"/>
      </rPr>
      <t>l</t>
    </r>
    <r>
      <rPr>
        <vertAlign val="superscript"/>
        <sz val="10"/>
        <rFont val="Symbol"/>
        <family val="1"/>
      </rPr>
      <t xml:space="preserve">     </t>
    </r>
    <r>
      <rPr>
        <sz val="10"/>
        <rFont val="Symbol"/>
        <family val="1"/>
      </rPr>
      <t>l =</t>
    </r>
    <r>
      <rPr>
        <sz val="10"/>
        <rFont val="Arial"/>
        <family val="0"/>
      </rPr>
      <t xml:space="preserve"> average number of cells per sort event,</t>
    </r>
  </si>
  <si>
    <t>Flow Calculator - (with Coincindence Abort Turned On)</t>
  </si>
  <si>
    <t>Calculation of Purity Using Recovery Mode (anti-coincidence abort turned off)</t>
  </si>
  <si>
    <t>Enter Sort Parameters in Blue Boxes</t>
  </si>
  <si>
    <r>
      <t xml:space="preserve">Probability of Drops with 0 cells  i.e. </t>
    </r>
    <r>
      <rPr>
        <sz val="10"/>
        <rFont val="Arial"/>
        <family val="2"/>
      </rPr>
      <t>x</t>
    </r>
    <r>
      <rPr>
        <sz val="10"/>
        <rFont val="Arial"/>
        <family val="0"/>
      </rPr>
      <t>=0</t>
    </r>
  </si>
  <si>
    <r>
      <t xml:space="preserve">       </t>
    </r>
    <r>
      <rPr>
        <b/>
        <sz val="10"/>
        <rFont val="Arial"/>
        <family val="2"/>
      </rPr>
      <t>Overall Maximum Purity for a Recovery Sort (when mask is)</t>
    </r>
  </si>
  <si>
    <t>Total Contaminant Cells per 100 sort events</t>
  </si>
  <si>
    <t xml:space="preserve">                                                                                   </t>
  </si>
  <si>
    <t>Intermediate Calculated Values in Green Box</t>
  </si>
  <si>
    <t>drops/sec                                                                                          (1)</t>
  </si>
  <si>
    <t>cells/sec                                                                                            (2)</t>
  </si>
  <si>
    <r>
      <t>ε</t>
    </r>
    <r>
      <rPr>
        <sz val="10"/>
        <rFont val="Arial"/>
        <family val="0"/>
      </rPr>
      <t xml:space="preserve"> - fraction wanted (% / 100) in a given sort stream                               (3)</t>
    </r>
  </si>
  <si>
    <t>Coincidence Mask Fraction (e.g. enter 0.25 for mask denominator of 4) (4)</t>
  </si>
  <si>
    <r>
      <t>Sheath Pressure PSI (</t>
    </r>
    <r>
      <rPr>
        <sz val="10"/>
        <rFont val="Verdana"/>
        <family val="2"/>
      </rPr>
      <t>μ</t>
    </r>
    <r>
      <rPr>
        <sz val="10"/>
        <rFont val="Arial"/>
        <family val="0"/>
      </rPr>
      <t>m)</t>
    </r>
  </si>
  <si>
    <t>Total sorted volume (ml) (in single sort stream)</t>
  </si>
  <si>
    <t>% of total cells sorted</t>
  </si>
  <si>
    <t>% of sort attempts aborted</t>
  </si>
  <si>
    <r>
      <t>μ</t>
    </r>
    <r>
      <rPr>
        <sz val="10"/>
        <rFont val="Arial"/>
        <family val="0"/>
      </rPr>
      <t xml:space="preserve"> = cell frequency  = #cells/</t>
    </r>
    <r>
      <rPr>
        <sz val="10"/>
        <rFont val="Verdana"/>
        <family val="2"/>
      </rPr>
      <t>μ</t>
    </r>
    <r>
      <rPr>
        <sz val="10"/>
        <rFont val="Arial"/>
        <family val="0"/>
      </rPr>
      <t>sec</t>
    </r>
  </si>
  <si>
    <r>
      <t>a</t>
    </r>
    <r>
      <rPr>
        <sz val="10"/>
        <rFont val="Arial"/>
        <family val="0"/>
      </rPr>
      <t>(13)</t>
    </r>
  </si>
  <si>
    <t>has all cells being "independent".  You should note that this is essentially never the case and real results will generally be less good</t>
  </si>
  <si>
    <t>than the "Poisson predictions".  Very well prepared samples will come close and more poorly prepared samples will be less good.</t>
  </si>
  <si>
    <r>
      <t xml:space="preserve">          </t>
    </r>
    <r>
      <rPr>
        <b/>
        <sz val="10"/>
        <rFont val="Arial"/>
        <family val="2"/>
      </rPr>
      <t xml:space="preserve"> NOTE:  Numbers in parentheses refer to notes.</t>
    </r>
  </si>
  <si>
    <r>
      <t>T = drop period  10^6</t>
    </r>
    <r>
      <rPr>
        <sz val="10"/>
        <rFont val="Verdana"/>
        <family val="2"/>
      </rPr>
      <t>μ</t>
    </r>
    <r>
      <rPr>
        <sz val="10"/>
        <rFont val="Arial"/>
        <family val="0"/>
      </rPr>
      <t>sec/# drops/sec</t>
    </r>
  </si>
  <si>
    <r>
      <t xml:space="preserve">n </t>
    </r>
    <r>
      <rPr>
        <sz val="10"/>
        <rFont val="Arial"/>
        <family val="0"/>
      </rPr>
      <t xml:space="preserve">= # drops deflected (usually set to 1 on most sorters)                       </t>
    </r>
  </si>
  <si>
    <r>
      <t>(1-</t>
    </r>
    <r>
      <rPr>
        <sz val="10"/>
        <rFont val="Verdana"/>
        <family val="2"/>
      </rPr>
      <t>ε</t>
    </r>
    <r>
      <rPr>
        <sz val="10"/>
        <rFont val="Arial"/>
        <family val="0"/>
      </rPr>
      <t>)</t>
    </r>
  </si>
  <si>
    <t xml:space="preserve">The sort calculator will provide predictions for sorts with given input parameters.  The predictions in all cases assume a "perfect" sample that </t>
  </si>
  <si>
    <r>
      <t>The sort rate is calculated from the formula Rs=</t>
    </r>
    <r>
      <rPr>
        <b/>
        <sz val="12"/>
        <rFont val="Symbol"/>
        <family val="1"/>
      </rPr>
      <t>e</t>
    </r>
    <r>
      <rPr>
        <b/>
        <sz val="12"/>
        <rFont val="Verdana"/>
        <family val="2"/>
      </rPr>
      <t>μ</t>
    </r>
    <r>
      <rPr>
        <b/>
        <i/>
        <sz val="12"/>
        <rFont val="Arial"/>
        <family val="2"/>
      </rPr>
      <t>e</t>
    </r>
    <r>
      <rPr>
        <b/>
        <vertAlign val="superscript"/>
        <sz val="12"/>
        <rFont val="Arial"/>
        <family val="2"/>
      </rPr>
      <t>-(1-</t>
    </r>
    <r>
      <rPr>
        <b/>
        <vertAlign val="superscript"/>
        <sz val="12"/>
        <rFont val="Symbol"/>
        <family val="1"/>
      </rPr>
      <t>e)</t>
    </r>
    <r>
      <rPr>
        <b/>
        <vertAlign val="superscript"/>
        <sz val="12"/>
        <rFont val="Verdana"/>
        <family val="2"/>
      </rPr>
      <t>μ</t>
    </r>
    <r>
      <rPr>
        <b/>
        <i/>
        <vertAlign val="superscript"/>
        <sz val="12"/>
        <rFont val="Verdana"/>
        <family val="2"/>
      </rPr>
      <t>Tn</t>
    </r>
  </si>
  <si>
    <r>
      <t xml:space="preserve">where e is fraction of cells wanted, </t>
    </r>
    <r>
      <rPr>
        <sz val="10"/>
        <rFont val="Verdana"/>
        <family val="2"/>
      </rPr>
      <t>μ</t>
    </r>
    <r>
      <rPr>
        <sz val="10"/>
        <rFont val="Arial"/>
        <family val="2"/>
      </rPr>
      <t xml:space="preserve"> is cell frequency, e is the base</t>
    </r>
  </si>
  <si>
    <r>
      <t xml:space="preserve">of the natural logarithm, 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 xml:space="preserve"> is the droplet period, and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the number</t>
    </r>
  </si>
  <si>
    <t>Academic Press 1985)</t>
  </si>
  <si>
    <t>(see Pinkel and Stovel, Flow Chambers and Sample Handling - Chapter 3 in</t>
  </si>
  <si>
    <t>Flow Cytometry: Instrumentation and Data Analysis ed van Dilla, Dean, Laerum, and Melamed,</t>
  </si>
  <si>
    <t>(1) drops per second is the drive frequency set on the sorter</t>
  </si>
  <si>
    <t>(2) Cells per second is the average cell input rate - same valus for all sort streams in a sort</t>
  </si>
  <si>
    <t>(3) Fraction wanted is the frequency of the desired cell population.  Enter this as the percent divided by 100 - i.e. for a 5% wanted population enter 0.05</t>
  </si>
  <si>
    <t>(4)  Enter the decimal value of the selected sort mask.  i.e for a 1/4th drop sort mask enter 0.25.</t>
  </si>
  <si>
    <t>(5)  Sort Efficiency.  The sort efficiency is the predicted number of drops sorted per every 100 wanted cells observed (i.e. should have been sorted</t>
  </si>
  <si>
    <r>
      <t xml:space="preserve">of droplets deflected per sort event,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usually 1</t>
    </r>
  </si>
  <si>
    <r>
      <t>in the calculation</t>
    </r>
    <r>
      <rPr>
        <i/>
        <sz val="10"/>
        <rFont val="Arial"/>
        <family val="2"/>
      </rPr>
      <t xml:space="preserve"> n</t>
    </r>
    <r>
      <rPr>
        <sz val="10"/>
        <rFont val="Arial"/>
        <family val="0"/>
      </rPr>
      <t xml:space="preserve"> will be increased as a result of the sort/purity mask</t>
    </r>
  </si>
  <si>
    <t>I tnank Gary Durack, iCyt, for help in some aprts of the calculator</t>
  </si>
  <si>
    <t>Note: That the sort calulator calculates the result for each sort stream - for 2 or more sort streams you will need to change those input values for each stream separately</t>
  </si>
  <si>
    <t>The top half of the spreadsheet calaculates several sort results.  This section assumes that the sorter is operating in purity mode.</t>
  </si>
  <si>
    <t>This means that coincidence detection is on.  The sort mask/purity divisions may be entered to demonstrate the effect of different settings.</t>
  </si>
  <si>
    <t xml:space="preserve">The lower half of the spreadsheet calculates expected sort purities in a recovery mode.  This assumes the coincidence detection is turned off.  </t>
  </si>
  <si>
    <t>stream velocity  meters/sec                                                                 (6)</t>
  </si>
  <si>
    <r>
      <t xml:space="preserve">a </t>
    </r>
    <r>
      <rPr>
        <sz val="10"/>
        <rFont val="Arial"/>
        <family val="0"/>
      </rPr>
      <t xml:space="preserve">  (8)</t>
    </r>
  </si>
  <si>
    <r>
      <t>a</t>
    </r>
    <r>
      <rPr>
        <sz val="10"/>
        <rFont val="Arial"/>
        <family val="0"/>
      </rPr>
      <t>(14)</t>
    </r>
  </si>
  <si>
    <r>
      <t>(</t>
    </r>
    <r>
      <rPr>
        <b/>
        <sz val="12"/>
        <rFont val="Arial"/>
        <family val="0"/>
      </rPr>
      <t>6)  Stream Velocity v</t>
    </r>
    <r>
      <rPr>
        <b/>
        <vertAlign val="subscript"/>
        <sz val="12"/>
        <rFont val="Arial"/>
        <family val="2"/>
      </rPr>
      <t>jet</t>
    </r>
    <r>
      <rPr>
        <b/>
        <sz val="12"/>
        <rFont val="Arial"/>
        <family val="0"/>
      </rPr>
      <t xml:space="preserve"> = (2P/</t>
    </r>
    <r>
      <rPr>
        <b/>
        <sz val="12"/>
        <rFont val="Symbol"/>
        <family val="1"/>
      </rPr>
      <t>r</t>
    </r>
    <r>
      <rPr>
        <b/>
        <sz val="12"/>
        <rFont val="Arial"/>
        <family val="0"/>
      </rPr>
      <t>)</t>
    </r>
    <r>
      <rPr>
        <b/>
        <vertAlign val="superscript"/>
        <sz val="12"/>
        <rFont val="Arial"/>
        <family val="2"/>
      </rPr>
      <t>0.5</t>
    </r>
    <r>
      <rPr>
        <b/>
        <sz val="12"/>
        <rFont val="Arial"/>
        <family val="0"/>
      </rPr>
      <t xml:space="preserve">   P is sheath pressure in newtons/m</t>
    </r>
    <r>
      <rPr>
        <b/>
        <vertAlign val="superscript"/>
        <sz val="12"/>
        <rFont val="Arial"/>
        <family val="2"/>
      </rPr>
      <t xml:space="preserve">2  </t>
    </r>
    <r>
      <rPr>
        <b/>
        <sz val="12"/>
        <rFont val="Arial"/>
        <family val="2"/>
      </rPr>
      <t>(1 PSI = 6,894.8 N/m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),</t>
    </r>
    <r>
      <rPr>
        <b/>
        <sz val="12"/>
        <rFont val="Arial"/>
        <family val="0"/>
      </rPr>
      <t xml:space="preserve"> </t>
    </r>
    <r>
      <rPr>
        <b/>
        <sz val="12"/>
        <rFont val="Symbol"/>
        <family val="1"/>
      </rPr>
      <t>r</t>
    </r>
    <r>
      <rPr>
        <b/>
        <sz val="12"/>
        <rFont val="Arial"/>
        <family val="0"/>
      </rPr>
      <t xml:space="preserve"> is sheath fluid density (assumed to be normal saline) </t>
    </r>
    <r>
      <rPr>
        <sz val="10"/>
        <rFont val="Arial"/>
        <family val="0"/>
      </rPr>
      <t xml:space="preserve"> </t>
    </r>
  </si>
  <si>
    <t>Nozzle Diameter</t>
  </si>
  <si>
    <t>Predicted Drop Drive Frequency (Hz)                                                  (7)</t>
  </si>
  <si>
    <r>
      <t xml:space="preserve">  </t>
    </r>
    <r>
      <rPr>
        <sz val="10"/>
        <color indexed="9"/>
        <rFont val="Arial"/>
        <family val="2"/>
      </rPr>
      <t>a</t>
    </r>
    <r>
      <rPr>
        <sz val="10"/>
        <rFont val="Arial"/>
        <family val="0"/>
      </rPr>
      <t xml:space="preserve"> (8)</t>
    </r>
  </si>
  <si>
    <t>Fraction of sorted events with 3 contaminant cells                                (12)</t>
  </si>
  <si>
    <r>
      <t>a</t>
    </r>
    <r>
      <rPr>
        <sz val="10"/>
        <rFont val="Arial"/>
        <family val="0"/>
      </rPr>
      <t>(15)</t>
    </r>
  </si>
  <si>
    <r>
      <t>(7) Predicted Drop Frequency F</t>
    </r>
    <r>
      <rPr>
        <b/>
        <vertAlign val="subscript"/>
        <sz val="10"/>
        <rFont val="Arial"/>
        <family val="2"/>
      </rPr>
      <t>optimal</t>
    </r>
    <r>
      <rPr>
        <b/>
        <sz val="12"/>
        <rFont val="Arial"/>
        <family val="0"/>
      </rPr>
      <t xml:space="preserve"> = Vjet/</t>
    </r>
    <r>
      <rPr>
        <b/>
        <sz val="12"/>
        <rFont val="Symbol"/>
        <family val="1"/>
      </rPr>
      <t>l</t>
    </r>
    <r>
      <rPr>
        <b/>
        <sz val="12"/>
        <rFont val="Arial"/>
        <family val="0"/>
      </rPr>
      <t xml:space="preserve">  </t>
    </r>
    <r>
      <rPr>
        <b/>
        <sz val="12"/>
        <rFont val="Symbol"/>
        <family val="1"/>
      </rPr>
      <t>l</t>
    </r>
    <r>
      <rPr>
        <b/>
        <sz val="12"/>
        <rFont val="Arial"/>
        <family val="0"/>
      </rPr>
      <t xml:space="preserve"> is drop wavelength (i.e. about 4.54 x jet diameter)  This is an estimate and should be used as a starting point.</t>
    </r>
  </si>
  <si>
    <t>(8)  Recovery mask   Enter the recovery mask denominator (Reflection) or calculate the number from the sort mask decimal number i.e. for a 0.25 sort mask enter 4</t>
  </si>
  <si>
    <t>(9) Poisson calculation of probaility</t>
  </si>
  <si>
    <t>(10) Fraction of sorted drops with 1 contaminat cell i.e  one wanted cell  - one not wanted</t>
  </si>
  <si>
    <t>(11) Fraction of sorted drops with 2 contaminant cells i.e. one wanted cell - two not wanted</t>
  </si>
  <si>
    <t>(12) Fraction of sorted dropls with 3 contaminant cells i.e one wanted cell - three unwanted</t>
  </si>
  <si>
    <t>Fraction of sorted events with 1 contaminant cell                                  (10)</t>
  </si>
  <si>
    <t>Fraction of sorted events with 2 contaminant cells                                (11)</t>
  </si>
  <si>
    <r>
      <t>(13) Using the predicted frequencies of 1, 2, or 3 contaminants</t>
    </r>
    <r>
      <rPr>
        <b/>
        <sz val="10"/>
        <rFont val="Arial"/>
        <family val="2"/>
      </rPr>
      <t xml:space="preserve"> (higher levels are not considered as they become an increasingly small number) </t>
    </r>
    <r>
      <rPr>
        <b/>
        <sz val="12"/>
        <rFont val="Arial"/>
        <family val="2"/>
      </rPr>
      <t xml:space="preserve">the number of </t>
    </r>
  </si>
  <si>
    <t xml:space="preserve">       contaminants per 100 sort events can be determined.  The frequency of these or the purity is 100/(100 + number of all contaminants) x 100</t>
  </si>
  <si>
    <t>(14) As above (13) we can calculate the frequency and number/100 sort events of the contaminants in 2 drops</t>
  </si>
  <si>
    <t>(15) When we do a recovery sort we either sort 1 or 2 drops (usually) per sort event.  A sort mask can be set to determine the edge effects of the drops.</t>
  </si>
  <si>
    <t xml:space="preserve">       If the mask is 0.25 (1/4th) then if the cell is in the leading 1/4th of the drop the drop and the drop preceding it is sorted.</t>
  </si>
  <si>
    <t xml:space="preserve">       If the cell is in the trainling 1/4th of the drop then we sort the drop and the trailing drop in the sort event.</t>
  </si>
  <si>
    <t xml:space="preserve">       Thus, on average, for a sort mask of 0.25 one half of the time we sort one drop and half of the time we sort 2 drops.</t>
  </si>
  <si>
    <t xml:space="preserve">       Therefore, the sort purity for a recovery sort with a 0.25 mask (or 4 divisions on a Reflection) is 1/2 the purity obtained for a single cell drop event plus </t>
  </si>
  <si>
    <t xml:space="preserve">        Note:  This will be an increasingly greater under estimate as </t>
  </si>
  <si>
    <t xml:space="preserve">        the % of the desired  population becomes larger since the</t>
  </si>
  <si>
    <t xml:space="preserve">        probability that a "contaminant" is actually a wanted cell will increase</t>
  </si>
  <si>
    <t>aborts of wanted (rate - cells/sec)</t>
  </si>
  <si>
    <t xml:space="preserve">           1/2 the purity for a two drop sort  Again the sort purities assume a theoretical Poisson perfect sample</t>
  </si>
  <si>
    <t>sort efficiency   (%)                                                                                 (5)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</si>
</sst>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0"/>
    <numFmt numFmtId="167" formatCode="0.000E+00"/>
    <numFmt numFmtId="168" formatCode="0.000"/>
    <numFmt numFmtId="169" formatCode="0.00000000"/>
    <numFmt numFmtId="170" formatCode="0.00000"/>
    <numFmt numFmtId="171" formatCode="0.000000"/>
    <numFmt numFmtId="172" formatCode="0.00000000000000"/>
    <numFmt numFmtId="173" formatCode="0.000000000"/>
  </numFmts>
  <fonts count="59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0"/>
    </font>
    <font>
      <b/>
      <sz val="10"/>
      <name val="Symbol"/>
      <family val="1"/>
    </font>
    <font>
      <vertAlign val="superscript"/>
      <sz val="10"/>
      <name val="Symbol"/>
      <family val="1"/>
    </font>
    <font>
      <b/>
      <vertAlign val="superscript"/>
      <sz val="10"/>
      <name val="Arial"/>
      <family val="2"/>
    </font>
    <font>
      <b/>
      <vertAlign val="superscript"/>
      <sz val="10"/>
      <name val="Symbol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Symbol"/>
      <family val="1"/>
    </font>
    <font>
      <b/>
      <sz val="12"/>
      <name val="Verdana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Symbol"/>
      <family val="1"/>
    </font>
    <font>
      <b/>
      <vertAlign val="superscript"/>
      <sz val="12"/>
      <name val="Verdana"/>
      <family val="2"/>
    </font>
    <font>
      <b/>
      <i/>
      <vertAlign val="superscript"/>
      <sz val="12"/>
      <name val="Verdana"/>
      <family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52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 style="thick">
        <color indexed="52"/>
      </right>
      <top>
        <color indexed="63"/>
      </top>
      <bottom>
        <color indexed="63"/>
      </bottom>
    </border>
    <border>
      <left style="thick">
        <color indexed="52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/>
      <top style="thick">
        <color indexed="12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165" fontId="0" fillId="0" borderId="11" xfId="0" applyNumberFormat="1" applyBorder="1" applyAlignment="1" applyProtection="1">
      <alignment/>
      <protection hidden="1"/>
    </xf>
    <xf numFmtId="165" fontId="0" fillId="0" borderId="11" xfId="0" applyNumberFormat="1" applyBorder="1" applyAlignment="1">
      <alignment/>
    </xf>
    <xf numFmtId="166" fontId="0" fillId="0" borderId="0" xfId="0" applyNumberFormat="1" applyAlignment="1">
      <alignment/>
    </xf>
    <xf numFmtId="3" fontId="0" fillId="0" borderId="11" xfId="0" applyNumberFormat="1" applyBorder="1" applyAlignment="1" applyProtection="1">
      <alignment/>
      <protection hidden="1"/>
    </xf>
    <xf numFmtId="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7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/>
    </xf>
    <xf numFmtId="1" fontId="0" fillId="0" borderId="16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168" fontId="0" fillId="0" borderId="25" xfId="0" applyNumberFormat="1" applyBorder="1" applyAlignment="1" applyProtection="1">
      <alignment/>
      <protection hidden="1"/>
    </xf>
    <xf numFmtId="166" fontId="0" fillId="0" borderId="17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26" xfId="0" applyBorder="1" applyAlignment="1" applyProtection="1">
      <alignment/>
      <protection hidden="1"/>
    </xf>
    <xf numFmtId="1" fontId="0" fillId="0" borderId="24" xfId="0" applyNumberFormat="1" applyBorder="1" applyAlignment="1" applyProtection="1">
      <alignment/>
      <protection hidden="1"/>
    </xf>
    <xf numFmtId="166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0" xfId="0" applyNumberFormat="1" applyBorder="1" applyAlignment="1" applyProtection="1">
      <alignment/>
      <protection hidden="1"/>
    </xf>
    <xf numFmtId="0" fontId="11" fillId="0" borderId="0" xfId="0" applyFont="1" applyAlignment="1">
      <alignment/>
    </xf>
    <xf numFmtId="3" fontId="0" fillId="0" borderId="19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11" fontId="0" fillId="0" borderId="10" xfId="0" applyNumberFormat="1" applyBorder="1" applyAlignment="1" applyProtection="1">
      <alignment/>
      <protection locked="0"/>
    </xf>
    <xf numFmtId="11" fontId="0" fillId="0" borderId="19" xfId="0" applyNumberFormat="1" applyBorder="1" applyAlignment="1" applyProtection="1">
      <alignment/>
      <protection hidden="1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>
      <alignment/>
    </xf>
    <xf numFmtId="0" fontId="0" fillId="0" borderId="32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24" xfId="0" applyNumberFormat="1" applyBorder="1" applyAlignment="1" applyProtection="1">
      <alignment/>
      <protection hidden="1"/>
    </xf>
    <xf numFmtId="2" fontId="0" fillId="0" borderId="14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0" fontId="6" fillId="0" borderId="33" xfId="0" applyFont="1" applyBorder="1" applyAlignment="1">
      <alignment/>
    </xf>
    <xf numFmtId="16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66" fontId="0" fillId="0" borderId="36" xfId="0" applyNumberFormat="1" applyBorder="1" applyAlignment="1">
      <alignment/>
    </xf>
    <xf numFmtId="0" fontId="5" fillId="0" borderId="35" xfId="0" applyFont="1" applyBorder="1" applyAlignment="1">
      <alignment/>
    </xf>
    <xf numFmtId="166" fontId="0" fillId="0" borderId="36" xfId="0" applyNumberForma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0" borderId="37" xfId="0" applyFont="1" applyBorder="1" applyAlignment="1">
      <alignment/>
    </xf>
    <xf numFmtId="1" fontId="0" fillId="0" borderId="38" xfId="0" applyNumberFormat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6" fillId="0" borderId="35" xfId="0" applyFont="1" applyBorder="1" applyAlignment="1">
      <alignment/>
    </xf>
    <xf numFmtId="166" fontId="0" fillId="0" borderId="39" xfId="0" applyNumberForma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166" fontId="0" fillId="0" borderId="40" xfId="0" applyNumberFormat="1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30" xfId="0" applyNumberFormat="1" applyBorder="1" applyAlignment="1" applyProtection="1">
      <alignment/>
      <protection hidden="1"/>
    </xf>
    <xf numFmtId="0" fontId="6" fillId="0" borderId="10" xfId="0" applyFont="1" applyBorder="1" applyAlignment="1">
      <alignment/>
    </xf>
    <xf numFmtId="171" fontId="0" fillId="0" borderId="30" xfId="0" applyNumberFormat="1" applyBorder="1" applyAlignment="1" applyProtection="1">
      <alignment/>
      <protection hidden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D72"/>
  <sheetViews>
    <sheetView zoomScalePageLayoutView="0" workbookViewId="0" topLeftCell="A15">
      <selection activeCell="F16" sqref="F16"/>
    </sheetView>
  </sheetViews>
  <sheetFormatPr defaultColWidth="11.421875" defaultRowHeight="12.75"/>
  <cols>
    <col min="1" max="2" width="8.8515625" style="0" customWidth="1"/>
    <col min="3" max="4" width="0" style="0" hidden="1" customWidth="1"/>
    <col min="5" max="5" width="61.7109375" style="0" customWidth="1"/>
    <col min="6" max="6" width="18.28125" style="0" customWidth="1"/>
    <col min="7" max="7" width="32.7109375" style="0" customWidth="1"/>
    <col min="8" max="8" width="11.421875" style="0" customWidth="1"/>
    <col min="9" max="21" width="0" style="0" hidden="1" customWidth="1"/>
    <col min="22" max="22" width="13.7109375" style="0" customWidth="1"/>
    <col min="23" max="23" width="3.28125" style="0" hidden="1" customWidth="1"/>
    <col min="24" max="24" width="16.28125" style="0" customWidth="1"/>
    <col min="25" max="25" width="22.28125" style="0" customWidth="1"/>
    <col min="26" max="26" width="0.13671875" style="0" customWidth="1"/>
    <col min="27" max="27" width="2.8515625" style="0" customWidth="1"/>
    <col min="28" max="16384" width="8.8515625" style="0" customWidth="1"/>
  </cols>
  <sheetData>
    <row r="3" spans="1:5" ht="18">
      <c r="A3" s="49" t="s">
        <v>34</v>
      </c>
      <c r="E3" s="33"/>
    </row>
    <row r="4" spans="1:5" ht="12.75">
      <c r="A4" s="33"/>
      <c r="E4" s="33"/>
    </row>
    <row r="5" spans="1:7" ht="12.75">
      <c r="A5" s="33"/>
      <c r="E5" s="33" t="s">
        <v>36</v>
      </c>
      <c r="G5" s="33" t="s">
        <v>41</v>
      </c>
    </row>
    <row r="6" spans="1:5" ht="12.75">
      <c r="A6" s="33"/>
      <c r="E6" s="33" t="s">
        <v>31</v>
      </c>
    </row>
    <row r="7" ht="13.5" thickBot="1"/>
    <row r="8" spans="5:22" ht="15" thickBot="1" thickTop="1">
      <c r="E8" s="2" t="s">
        <v>42</v>
      </c>
      <c r="F8" s="50">
        <v>48000</v>
      </c>
      <c r="G8" s="56" t="s">
        <v>55</v>
      </c>
      <c r="H8" s="57">
        <f>1000000/F8</f>
        <v>20.833333333333332</v>
      </c>
      <c r="V8" s="83"/>
    </row>
    <row r="9" spans="5:8" ht="15" thickBot="1" thickTop="1">
      <c r="E9" s="2" t="s">
        <v>43</v>
      </c>
      <c r="F9" s="5">
        <v>10000</v>
      </c>
      <c r="G9" s="54" t="s">
        <v>50</v>
      </c>
      <c r="H9" s="58">
        <f>F9/1000000</f>
        <v>0.01</v>
      </c>
    </row>
    <row r="10" spans="5:8" ht="15" thickBot="1" thickTop="1">
      <c r="E10" s="3" t="s">
        <v>44</v>
      </c>
      <c r="F10" s="6">
        <v>0.2</v>
      </c>
      <c r="G10" s="55" t="s">
        <v>4</v>
      </c>
      <c r="H10" s="58">
        <f>F9*F10</f>
        <v>2000</v>
      </c>
    </row>
    <row r="11" spans="5:8" ht="15" thickBot="1" thickTop="1">
      <c r="E11" s="90" t="s">
        <v>56</v>
      </c>
      <c r="F11" s="6">
        <v>1</v>
      </c>
      <c r="G11" s="55" t="s">
        <v>57</v>
      </c>
      <c r="H11" s="89">
        <f>1-F10</f>
        <v>0.8</v>
      </c>
    </row>
    <row r="12" spans="5:8" ht="15" thickBot="1" thickTop="1">
      <c r="E12" s="2" t="s">
        <v>45</v>
      </c>
      <c r="F12" s="6">
        <v>0.25</v>
      </c>
      <c r="G12" s="54" t="s">
        <v>0</v>
      </c>
      <c r="H12" s="89">
        <f>(H9*H8)*(F11+2*F12)</f>
        <v>0.3125</v>
      </c>
    </row>
    <row r="13" spans="5:8" ht="15" thickBot="1" thickTop="1">
      <c r="E13" s="2" t="s">
        <v>27</v>
      </c>
      <c r="F13" s="51">
        <v>1</v>
      </c>
      <c r="G13" s="55" t="s">
        <v>1</v>
      </c>
      <c r="H13" s="91">
        <f>H11*H12</f>
        <v>0.25</v>
      </c>
    </row>
    <row r="14" spans="5:8" ht="15" thickBot="1" thickTop="1">
      <c r="E14" s="7" t="s">
        <v>28</v>
      </c>
      <c r="F14" s="52">
        <v>20000000</v>
      </c>
      <c r="G14" s="55" t="s">
        <v>2</v>
      </c>
      <c r="H14" s="91">
        <f>2.71828182845905^H13</f>
        <v>1.284025416687742</v>
      </c>
    </row>
    <row r="15" spans="5:8" ht="15" thickBot="1" thickTop="1">
      <c r="E15" s="7" t="s">
        <v>15</v>
      </c>
      <c r="F15" s="53">
        <f>F13*F14</f>
        <v>20000000</v>
      </c>
      <c r="G15" s="59" t="s">
        <v>3</v>
      </c>
      <c r="H15" s="60">
        <f>1/H14</f>
        <v>0.7788007830714045</v>
      </c>
    </row>
    <row r="16" spans="5:6" ht="15" thickBot="1" thickTop="1">
      <c r="E16" s="21" t="s">
        <v>23</v>
      </c>
      <c r="F16" s="5">
        <v>1000000</v>
      </c>
    </row>
    <row r="17" spans="5:6" ht="15" thickBot="1" thickTop="1">
      <c r="E17" s="22" t="s">
        <v>46</v>
      </c>
      <c r="F17" s="31">
        <v>45</v>
      </c>
    </row>
    <row r="18" spans="5:6" ht="15" thickBot="1" thickTop="1">
      <c r="E18" s="7" t="s">
        <v>81</v>
      </c>
      <c r="F18" s="6">
        <v>85</v>
      </c>
    </row>
    <row r="19" spans="5:6" ht="13.5" customHeight="1" thickBot="1" thickTop="1">
      <c r="E19" s="29"/>
      <c r="F19" s="4"/>
    </row>
    <row r="20" spans="5:6" ht="13.5" hidden="1" thickBot="1">
      <c r="E20" s="29"/>
      <c r="F20" s="4"/>
    </row>
    <row r="21" spans="5:7" ht="15" thickBot="1" thickTop="1">
      <c r="E21" s="23" t="s">
        <v>14</v>
      </c>
      <c r="F21" s="11">
        <f>((F10*H9)*H15)*1000000</f>
        <v>1557.6015661428091</v>
      </c>
      <c r="G21" t="s">
        <v>54</v>
      </c>
    </row>
    <row r="22" spans="5:6" ht="15" thickBot="1" thickTop="1">
      <c r="E22" s="24" t="s">
        <v>107</v>
      </c>
      <c r="F22" s="8">
        <f>(F21/H10)*100</f>
        <v>77.88007830714045</v>
      </c>
    </row>
    <row r="23" spans="5:6" ht="15" thickBot="1" thickTop="1">
      <c r="E23" s="24" t="s">
        <v>48</v>
      </c>
      <c r="F23" s="9">
        <f>(F10*F22/100)*100</f>
        <v>15.576015661428091</v>
      </c>
    </row>
    <row r="24" spans="5:6" ht="15" thickBot="1" thickTop="1">
      <c r="E24" s="24" t="s">
        <v>105</v>
      </c>
      <c r="F24" s="12">
        <f>H10-F21</f>
        <v>442.39843385719087</v>
      </c>
    </row>
    <row r="25" spans="5:6" ht="15" thickBot="1" thickTop="1">
      <c r="E25" s="24" t="s">
        <v>5</v>
      </c>
      <c r="F25" s="12">
        <f>F21*3600</f>
        <v>5607365.638114112</v>
      </c>
    </row>
    <row r="26" spans="5:6" ht="15" thickBot="1" thickTop="1">
      <c r="E26" s="24" t="s">
        <v>20</v>
      </c>
      <c r="F26" s="13">
        <f>F15/(F9*3600)</f>
        <v>0.5555555555555556</v>
      </c>
    </row>
    <row r="27" spans="1:6" ht="15" thickBot="1" thickTop="1">
      <c r="A27" s="1"/>
      <c r="E27" s="24" t="s">
        <v>49</v>
      </c>
      <c r="F27" s="9">
        <f>(F24/H10)*100</f>
        <v>22.119921692859542</v>
      </c>
    </row>
    <row r="28" spans="5:6" ht="15" thickBot="1" thickTop="1">
      <c r="E28" s="24" t="s">
        <v>26</v>
      </c>
      <c r="F28" s="26">
        <f>(PI()*((60/2*0.0001)^2)*(3.7*(F17)^0.5)*100)*(1/(F$8*1000))*1000000</f>
        <v>0.0014620395658978512</v>
      </c>
    </row>
    <row r="29" spans="1:6" ht="15" thickBot="1" thickTop="1">
      <c r="A29" s="1"/>
      <c r="E29" s="24" t="s">
        <v>77</v>
      </c>
      <c r="F29" s="13">
        <f>(2*(F17*6894.8)/(1.005*10^3))^0.5</f>
        <v>24.848436090011845</v>
      </c>
    </row>
    <row r="30" spans="5:6" ht="15" thickBot="1" thickTop="1">
      <c r="E30" s="24" t="s">
        <v>47</v>
      </c>
      <c r="F30" s="27">
        <f>F28*F16/1000</f>
        <v>1.4620395658978511</v>
      </c>
    </row>
    <row r="31" spans="5:6" ht="15" thickBot="1" thickTop="1">
      <c r="E31" s="24" t="s">
        <v>24</v>
      </c>
      <c r="F31" s="28" t="str">
        <f>TEXT((F16/F21)/86400,"hh:mm:ss")</f>
        <v>00:10:42</v>
      </c>
    </row>
    <row r="32" spans="5:6" ht="15" thickBot="1" thickTop="1">
      <c r="E32" s="24" t="s">
        <v>82</v>
      </c>
      <c r="F32" s="12">
        <f>(F29/(4.5*F18*0.000001))</f>
        <v>64963.231607874106</v>
      </c>
    </row>
    <row r="33" spans="5:6" ht="15" thickBot="1" thickTop="1">
      <c r="E33" s="25" t="s">
        <v>25</v>
      </c>
      <c r="F33" s="30" t="str">
        <f>TEXT((F15/F9)/86400,"hh:mm:ss")</f>
        <v>00:33:20</v>
      </c>
    </row>
    <row r="34" ht="13.5" thickTop="1">
      <c r="F34" s="4"/>
    </row>
    <row r="35" ht="12.75">
      <c r="F35" s="4"/>
    </row>
    <row r="36" ht="12.75" hidden="1">
      <c r="F36" s="4"/>
    </row>
    <row r="37" ht="12.75" hidden="1"/>
    <row r="38" ht="18">
      <c r="A38" s="49" t="s">
        <v>35</v>
      </c>
    </row>
    <row r="39" ht="13.5" thickBot="1"/>
    <row r="40" spans="5:23" ht="15.75" thickTop="1">
      <c r="E40" s="68" t="s">
        <v>33</v>
      </c>
      <c r="F40" s="69"/>
      <c r="W40" s="10"/>
    </row>
    <row r="41" spans="5:23" ht="12.75">
      <c r="E41" s="70" t="s">
        <v>32</v>
      </c>
      <c r="F41" s="71"/>
      <c r="W41" s="10"/>
    </row>
    <row r="42" spans="5:23" ht="13.5" thickBot="1">
      <c r="E42" s="70"/>
      <c r="F42" s="71"/>
      <c r="W42" s="10"/>
    </row>
    <row r="43" spans="5:23" ht="12.75">
      <c r="E43" s="72" t="s">
        <v>30</v>
      </c>
      <c r="F43" s="73">
        <f>(F9/F8)*F44</f>
        <v>0.20833333333333334</v>
      </c>
      <c r="V43" s="79">
        <f>(F9/F8)*V44</f>
        <v>0.4166666666666667</v>
      </c>
      <c r="W43" s="10">
        <f>(F9/F8)*W44</f>
        <v>0.4166666666666667</v>
      </c>
    </row>
    <row r="44" spans="5:23" ht="13.5" thickBot="1">
      <c r="E44" s="70" t="s">
        <v>9</v>
      </c>
      <c r="F44" s="74">
        <v>1</v>
      </c>
      <c r="V44" s="80">
        <v>2</v>
      </c>
      <c r="W44">
        <v>2</v>
      </c>
    </row>
    <row r="45" spans="5:22" ht="15" thickBot="1" thickTop="1">
      <c r="E45" s="75" t="s">
        <v>29</v>
      </c>
      <c r="F45" s="76">
        <v>4</v>
      </c>
      <c r="G45" t="s">
        <v>83</v>
      </c>
      <c r="V45" s="80"/>
    </row>
    <row r="46" spans="5:22" ht="13.5" thickTop="1">
      <c r="E46" s="70"/>
      <c r="F46" s="77"/>
      <c r="V46" s="80"/>
    </row>
    <row r="47" spans="5:22" ht="12.75">
      <c r="E47" s="78" t="s">
        <v>6</v>
      </c>
      <c r="F47" s="77"/>
      <c r="G47" s="83" t="s">
        <v>78</v>
      </c>
      <c r="V47" s="80"/>
    </row>
    <row r="48" spans="5:23" ht="12.75">
      <c r="E48" s="70" t="s">
        <v>37</v>
      </c>
      <c r="F48" s="73">
        <f>((F43^0)/FACT(0))*2.71828182845904^-F43</f>
        <v>0.8119363461506353</v>
      </c>
      <c r="V48" s="81">
        <f>((V43^0)/FACT(0))*2.71828182845904^-V43</f>
        <v>0.6592406302004442</v>
      </c>
      <c r="W48" s="10">
        <f>((W43^0)/FACT(0))*2.71828182845904^-W43</f>
        <v>0.6592406302004442</v>
      </c>
    </row>
    <row r="49" spans="5:23" ht="12.75">
      <c r="E49" s="70" t="s">
        <v>10</v>
      </c>
      <c r="F49" s="73">
        <f>1-F48</f>
        <v>0.18806365384936474</v>
      </c>
      <c r="V49" s="81">
        <f>1-V48</f>
        <v>0.3407593697995558</v>
      </c>
      <c r="W49" s="10">
        <f>1-W48</f>
        <v>0.3407593697995558</v>
      </c>
    </row>
    <row r="50" spans="5:23" ht="12.75">
      <c r="E50" s="70" t="s">
        <v>11</v>
      </c>
      <c r="F50" s="73">
        <f>((F43^1)/FACT(1))*2.71828182845904^-F43</f>
        <v>0.16915340544804902</v>
      </c>
      <c r="V50" s="81">
        <f>((V43^1)/FACT(1))*2.71828182845904^-V43</f>
        <v>0.27468359591685176</v>
      </c>
      <c r="W50" s="10">
        <f>((W43^1)/FACT(1))*2.71828182845904^-W43</f>
        <v>0.27468359591685176</v>
      </c>
    </row>
    <row r="51" spans="5:23" ht="12.75">
      <c r="E51" s="70" t="s">
        <v>7</v>
      </c>
      <c r="F51" s="73">
        <f>((F43^2)/FACT(2))*2.71828182845904^-F43</f>
        <v>0.017620146400838442</v>
      </c>
      <c r="V51" s="81">
        <f>((V43^2)/FACT(2))*2.71828182845904^-V43</f>
        <v>0.05722574914934412</v>
      </c>
      <c r="W51" s="10">
        <f>((W43^2)/FACT(2))*2.71828182845904^-W43</f>
        <v>0.05722574914934412</v>
      </c>
    </row>
    <row r="52" spans="5:23" ht="12.75">
      <c r="E52" s="70" t="s">
        <v>8</v>
      </c>
      <c r="F52" s="73">
        <f>((F43^3)/FACT(3))*2.71828182845904^-F43</f>
        <v>0.001223621277836003</v>
      </c>
      <c r="V52" s="81">
        <f>((V43^3)/FACT(3))*2.71828182845904^-V43</f>
        <v>0.007948020715186684</v>
      </c>
      <c r="W52" s="10">
        <f>((W43^3)/FACT(3))*2.71828182845904^-W43</f>
        <v>0.007948020715186684</v>
      </c>
    </row>
    <row r="53" spans="5:23" ht="12.75">
      <c r="E53" s="70" t="s">
        <v>13</v>
      </c>
      <c r="F53" s="73">
        <f>((F43^4)/FACT(4))*2.71828182845904^-F43</f>
        <v>6.373027488729182E-05</v>
      </c>
      <c r="V53" s="81">
        <f>((V43^4)/FACT(4))*2.71828182845904^-V43</f>
        <v>0.000827918824498613</v>
      </c>
      <c r="W53" s="10">
        <f>((W43^4)/FACT(4))*2.71828182845904^-W43</f>
        <v>0.000827918824498613</v>
      </c>
    </row>
    <row r="54" spans="5:22" ht="12.75">
      <c r="E54" s="70"/>
      <c r="F54" s="74"/>
      <c r="V54" s="80"/>
    </row>
    <row r="55" spans="5:23" ht="12.75">
      <c r="E55" s="70" t="s">
        <v>12</v>
      </c>
      <c r="F55" s="73">
        <f>F50/F49</f>
        <v>0.8994476177918863</v>
      </c>
      <c r="V55" s="81">
        <f>V50/V49</f>
        <v>0.8060925693061011</v>
      </c>
      <c r="W55" s="10">
        <f>W50/W49</f>
        <v>0.8060925693061011</v>
      </c>
    </row>
    <row r="56" spans="5:23" ht="12.75">
      <c r="E56" s="70" t="s">
        <v>16</v>
      </c>
      <c r="F56" s="73">
        <f>1-(F55)</f>
        <v>0.10055238220811369</v>
      </c>
      <c r="V56" s="81">
        <f>1-(V55)</f>
        <v>0.19390743069389893</v>
      </c>
      <c r="W56" s="10">
        <f>1-(W55)</f>
        <v>0.19390743069389893</v>
      </c>
    </row>
    <row r="57" spans="5:22" ht="12.75">
      <c r="E57" s="70"/>
      <c r="F57" s="74"/>
      <c r="V57" s="80"/>
    </row>
    <row r="58" spans="5:22" ht="13.5" thickBot="1">
      <c r="E58" s="70"/>
      <c r="F58" s="74"/>
      <c r="V58" s="80"/>
    </row>
    <row r="59" spans="5:26" ht="13.5" thickTop="1">
      <c r="E59" s="70"/>
      <c r="F59" s="74"/>
      <c r="G59" s="65" t="s">
        <v>39</v>
      </c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41"/>
      <c r="W59" s="14"/>
      <c r="X59" s="34" t="s">
        <v>39</v>
      </c>
      <c r="Y59" s="15"/>
      <c r="Z59" s="15"/>
    </row>
    <row r="60" spans="5:26" ht="12.75">
      <c r="E60" s="70"/>
      <c r="F60" s="74"/>
      <c r="G60" s="66" t="s">
        <v>18</v>
      </c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1"/>
      <c r="W60" s="4"/>
      <c r="X60" s="35" t="s">
        <v>19</v>
      </c>
      <c r="Y60" s="19"/>
      <c r="Z60" s="19"/>
    </row>
    <row r="61" spans="5:26" ht="12.75">
      <c r="E61" s="70" t="s">
        <v>92</v>
      </c>
      <c r="F61" s="73">
        <f>(F51/F49)*1/2</f>
        <v>0.04684623009332742</v>
      </c>
      <c r="G61" s="67">
        <f>F61*100</f>
        <v>4.684623009332742</v>
      </c>
      <c r="H61" s="19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8">
        <f>(V51/V49)*1/2</f>
        <v>0.08396797596938553</v>
      </c>
      <c r="W61" s="46">
        <f>(W51/W49)*1/2</f>
        <v>0.08396797596938553</v>
      </c>
      <c r="X61" s="36">
        <f>V61*100</f>
        <v>8.396797596938553</v>
      </c>
      <c r="Y61" s="19"/>
      <c r="Z61" s="19"/>
    </row>
    <row r="62" spans="5:26" ht="12.75">
      <c r="E62" s="70" t="s">
        <v>93</v>
      </c>
      <c r="F62" s="73">
        <f>(F52/F49)*2/3</f>
        <v>0.004337613897530316</v>
      </c>
      <c r="G62" s="67">
        <f>F62*100*2</f>
        <v>0.8675227795060633</v>
      </c>
      <c r="H62" s="19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8">
        <f>(V52/V49)*2/3</f>
        <v>0.015549625179515842</v>
      </c>
      <c r="W62" s="46">
        <f>(W52/W49)*2/3</f>
        <v>0.015549625179515842</v>
      </c>
      <c r="X62" s="36">
        <f>V62*100*2</f>
        <v>3.1099250359031685</v>
      </c>
      <c r="Y62" s="19"/>
      <c r="Z62" s="19"/>
    </row>
    <row r="63" spans="5:26" ht="13.5" thickBot="1">
      <c r="E63" s="70" t="s">
        <v>84</v>
      </c>
      <c r="F63" s="73">
        <f>(F53/F49)*3/4</f>
        <v>0.00025415706430841696</v>
      </c>
      <c r="G63" s="67">
        <f>F63*100*3</f>
        <v>0.07624711929252509</v>
      </c>
      <c r="H63" s="19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8">
        <f>(V53/V49)*3/4</f>
        <v>0.0018222217007245129</v>
      </c>
      <c r="W63" s="47">
        <f>(W53/W49)*3/4</f>
        <v>0.0018222217007245129</v>
      </c>
      <c r="X63" s="45">
        <f>V63*100*3</f>
        <v>0.5466665102173538</v>
      </c>
      <c r="Y63" s="17"/>
      <c r="Z63" s="19"/>
    </row>
    <row r="64" spans="5:26" ht="15" thickBot="1" thickTop="1">
      <c r="E64" s="70"/>
      <c r="F64" s="74"/>
      <c r="G64" s="42"/>
      <c r="H64" s="1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9"/>
      <c r="V64" s="44"/>
      <c r="W64" s="18"/>
      <c r="X64" s="37"/>
      <c r="Y64" s="16"/>
      <c r="Z64" s="17"/>
    </row>
    <row r="65" spans="5:30" ht="13.5" thickTop="1">
      <c r="E65" s="70" t="s">
        <v>17</v>
      </c>
      <c r="F65" s="73">
        <f>F61+F62+F63</f>
        <v>0.05143800105516615</v>
      </c>
      <c r="G65" s="38">
        <f>G61+G62+G63</f>
        <v>5.62839290813133</v>
      </c>
      <c r="H65" s="1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5"/>
      <c r="V65" s="40">
        <f>V61+V62+V63</f>
        <v>0.1013398228496259</v>
      </c>
      <c r="W65" s="20">
        <f>W61+W62+W63</f>
        <v>0.1013398228496259</v>
      </c>
      <c r="X65" s="38">
        <f>X61+X62+X63</f>
        <v>12.053389143059075</v>
      </c>
      <c r="Y65" s="14"/>
      <c r="Z65" s="15"/>
      <c r="AB65" s="4"/>
      <c r="AC65" s="4"/>
      <c r="AD65" s="4"/>
    </row>
    <row r="66" spans="5:30" ht="13.5" thickBot="1">
      <c r="E66" s="70" t="s">
        <v>22</v>
      </c>
      <c r="F66" s="74"/>
      <c r="G66" s="63">
        <f>(100/(100+G65))*100</f>
        <v>94.67151515499575</v>
      </c>
      <c r="H66" s="84" t="s">
        <v>51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82"/>
      <c r="W66" s="16"/>
      <c r="X66" s="62">
        <f>(100/(100+X65))*100</f>
        <v>89.24317306666158</v>
      </c>
      <c r="Y66" s="85" t="s">
        <v>79</v>
      </c>
      <c r="Z66" s="17"/>
      <c r="AB66" s="4"/>
      <c r="AC66" s="4"/>
      <c r="AD66" s="4"/>
    </row>
    <row r="67" spans="5:24" ht="15" thickBot="1" thickTop="1">
      <c r="E67" s="29"/>
      <c r="F67" s="32"/>
      <c r="G67" s="61"/>
      <c r="X67" s="61"/>
    </row>
    <row r="68" spans="5:7" ht="0" customHeight="1" hidden="1" thickBot="1">
      <c r="E68" s="29" t="s">
        <v>40</v>
      </c>
      <c r="F68" s="64"/>
      <c r="G68" s="32"/>
    </row>
    <row r="69" spans="5:24" ht="15" thickBot="1" thickTop="1">
      <c r="E69" s="29" t="s">
        <v>38</v>
      </c>
      <c r="F69" s="43">
        <f>1/F45</f>
        <v>0.25</v>
      </c>
      <c r="G69" s="39">
        <f>(G66)*(1-(1/F45))+(X66)*(1/F45)</f>
        <v>93.31442963291221</v>
      </c>
      <c r="H69" s="86" t="s">
        <v>85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 t="s">
        <v>21</v>
      </c>
      <c r="V69" s="4"/>
      <c r="W69" s="4"/>
      <c r="X69" s="4"/>
    </row>
    <row r="70" ht="13.5" thickTop="1">
      <c r="E70" s="29" t="s">
        <v>102</v>
      </c>
    </row>
    <row r="71" ht="12.75">
      <c r="E71" s="29" t="s">
        <v>103</v>
      </c>
    </row>
    <row r="72" ht="12.75">
      <c r="E72" s="29" t="s">
        <v>104</v>
      </c>
    </row>
  </sheetData>
  <sheetProtection password="E9CB" sheet="1" objects="1" scenarios="1" selectLockedCells="1"/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U42"/>
  <sheetViews>
    <sheetView tabSelected="1" zoomScalePageLayoutView="0" workbookViewId="0" topLeftCell="A16">
      <selection activeCell="E55" sqref="E55"/>
    </sheetView>
  </sheetViews>
  <sheetFormatPr defaultColWidth="11.421875" defaultRowHeight="12.75"/>
  <cols>
    <col min="1" max="16384" width="8.8515625" style="0" customWidth="1"/>
  </cols>
  <sheetData>
    <row r="2" ht="15.75">
      <c r="B2" s="87" t="s">
        <v>58</v>
      </c>
    </row>
    <row r="3" ht="13.5">
      <c r="B3" s="88" t="s">
        <v>52</v>
      </c>
    </row>
    <row r="4" ht="15.75">
      <c r="B4" s="87" t="s">
        <v>53</v>
      </c>
    </row>
    <row r="5" ht="15.75">
      <c r="B5" s="87"/>
    </row>
    <row r="6" ht="15.75">
      <c r="B6" s="87"/>
    </row>
    <row r="7" ht="15.75">
      <c r="B7" s="87" t="s">
        <v>74</v>
      </c>
    </row>
    <row r="8" ht="15.75">
      <c r="B8" s="87" t="s">
        <v>75</v>
      </c>
    </row>
    <row r="10" spans="2:9" ht="21" customHeight="1">
      <c r="B10" s="92" t="s">
        <v>59</v>
      </c>
      <c r="I10" t="s">
        <v>63</v>
      </c>
    </row>
    <row r="11" spans="2:9" ht="12.75">
      <c r="B11" s="93" t="s">
        <v>60</v>
      </c>
      <c r="I11" t="s">
        <v>64</v>
      </c>
    </row>
    <row r="12" spans="2:9" ht="12.75">
      <c r="B12" t="s">
        <v>61</v>
      </c>
      <c r="I12" t="s">
        <v>62</v>
      </c>
    </row>
    <row r="13" ht="12.75">
      <c r="B13" t="s">
        <v>70</v>
      </c>
    </row>
    <row r="14" ht="12.75">
      <c r="B14" s="93" t="s">
        <v>71</v>
      </c>
    </row>
    <row r="16" ht="12.75">
      <c r="B16" t="s">
        <v>72</v>
      </c>
    </row>
    <row r="18" ht="12.75">
      <c r="B18" s="33" t="s">
        <v>73</v>
      </c>
    </row>
    <row r="20" ht="15.75">
      <c r="B20" s="87" t="s">
        <v>76</v>
      </c>
    </row>
    <row r="22" ht="15.75">
      <c r="B22" s="87" t="s">
        <v>65</v>
      </c>
    </row>
    <row r="23" ht="15.75">
      <c r="B23" s="87" t="s">
        <v>66</v>
      </c>
    </row>
    <row r="24" ht="15.75">
      <c r="B24" s="87" t="s">
        <v>67</v>
      </c>
    </row>
    <row r="25" ht="15.75">
      <c r="B25" s="87" t="s">
        <v>68</v>
      </c>
    </row>
    <row r="26" ht="15.75">
      <c r="B26" s="87" t="s">
        <v>69</v>
      </c>
    </row>
    <row r="27" spans="2:21" ht="18">
      <c r="B27" s="94" t="s">
        <v>80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2:21" ht="15.75">
      <c r="B28" s="95" t="s">
        <v>86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ht="15.75">
      <c r="B29" s="87" t="s">
        <v>87</v>
      </c>
    </row>
    <row r="30" ht="15.75">
      <c r="B30" s="87" t="s">
        <v>88</v>
      </c>
    </row>
    <row r="31" ht="15.75">
      <c r="B31" s="87" t="s">
        <v>89</v>
      </c>
    </row>
    <row r="32" ht="15.75">
      <c r="B32" s="87" t="s">
        <v>90</v>
      </c>
    </row>
    <row r="33" ht="15.75">
      <c r="B33" s="87" t="s">
        <v>91</v>
      </c>
    </row>
    <row r="34" ht="15.75">
      <c r="B34" s="87" t="s">
        <v>94</v>
      </c>
    </row>
    <row r="35" ht="15.75">
      <c r="B35" s="87" t="s">
        <v>95</v>
      </c>
    </row>
    <row r="36" ht="15.75">
      <c r="B36" s="87" t="s">
        <v>96</v>
      </c>
    </row>
    <row r="37" ht="15.75">
      <c r="B37" s="87" t="s">
        <v>97</v>
      </c>
    </row>
    <row r="38" ht="15.75">
      <c r="B38" s="87" t="s">
        <v>98</v>
      </c>
    </row>
    <row r="39" ht="15.75">
      <c r="B39" s="87" t="s">
        <v>99</v>
      </c>
    </row>
    <row r="40" ht="15.75">
      <c r="B40" s="87" t="s">
        <v>100</v>
      </c>
    </row>
    <row r="41" ht="15.75">
      <c r="B41" s="87" t="s">
        <v>101</v>
      </c>
    </row>
    <row r="42" ht="15.75">
      <c r="B42" s="87" t="s">
        <v>106</v>
      </c>
    </row>
    <row r="46" s="94" customFormat="1" ht="21" customHeight="1"/>
    <row r="47" s="94" customFormat="1" ht="21" customHeight="1"/>
  </sheetData>
  <sheetProtection/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UNC Flow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Microsoft Office User</cp:lastModifiedBy>
  <dcterms:created xsi:type="dcterms:W3CDTF">2009-01-05T04:07:04Z</dcterms:created>
  <dcterms:modified xsi:type="dcterms:W3CDTF">2021-03-10T19:48:11Z</dcterms:modified>
  <cp:category/>
  <cp:version/>
  <cp:contentType/>
  <cp:contentStatus/>
</cp:coreProperties>
</file>